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weil\odrive\all mail\Shared with Me\Erie to Pittsburgh Trail Alliance\Board Committees\Standing Committees\Finance Committee\"/>
    </mc:Choice>
  </mc:AlternateContent>
  <xr:revisionPtr revIDLastSave="0" documentId="8_{2A9AD3E2-9208-453B-BA92-C94C86CAD9AA}" xr6:coauthVersionLast="45" xr6:coauthVersionMax="45" xr10:uidLastSave="{00000000-0000-0000-0000-000000000000}"/>
  <bookViews>
    <workbookView xWindow="-28290" yWindow="-6105" windowWidth="27945" windowHeight="20520" xr2:uid="{00000000-000D-0000-FFFF-FFFF00000000}"/>
  </bookViews>
  <sheets>
    <sheet name="Budget vs. Actual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2" i="1" s="1"/>
  <c r="C37" i="1"/>
  <c r="C39" i="1" s="1"/>
  <c r="C35" i="1"/>
  <c r="C34" i="1"/>
  <c r="C33" i="1"/>
  <c r="C27" i="1"/>
  <c r="C30" i="1" s="1"/>
  <c r="C24" i="1"/>
  <c r="C25" i="1" s="1"/>
  <c r="C31" i="1" s="1"/>
  <c r="C20" i="1"/>
  <c r="C19" i="1"/>
  <c r="C18" i="1"/>
  <c r="C12" i="1"/>
  <c r="C11" i="1"/>
  <c r="C10" i="1"/>
  <c r="F10" i="1" s="1"/>
  <c r="C9" i="1"/>
  <c r="C8" i="1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A11" i="2"/>
  <c r="D39" i="2"/>
  <c r="D40" i="2" s="1"/>
  <c r="D35" i="2"/>
  <c r="D37" i="2" s="1"/>
  <c r="D32" i="2"/>
  <c r="D31" i="2"/>
  <c r="D33" i="2" s="1"/>
  <c r="D25" i="2"/>
  <c r="D28" i="2" s="1"/>
  <c r="D22" i="2"/>
  <c r="D23" i="2" s="1"/>
  <c r="D29" i="2" s="1"/>
  <c r="D17" i="2"/>
  <c r="D16" i="2"/>
  <c r="D10" i="2"/>
  <c r="D9" i="2"/>
  <c r="D8" i="2"/>
  <c r="D7" i="2"/>
  <c r="D6" i="2"/>
  <c r="B4" i="2"/>
  <c r="B5" i="2"/>
  <c r="B6" i="2"/>
  <c r="A6" i="2" s="1"/>
  <c r="B7" i="2"/>
  <c r="B8" i="2"/>
  <c r="A8" i="2" s="1"/>
  <c r="B9" i="2"/>
  <c r="A9" i="2" s="1"/>
  <c r="B10" i="2"/>
  <c r="A10" i="2" s="1"/>
  <c r="B11" i="2"/>
  <c r="B12" i="2"/>
  <c r="A12" i="2" s="1"/>
  <c r="B13" i="2"/>
  <c r="A13" i="2" s="1"/>
  <c r="B14" i="2"/>
  <c r="B15" i="2"/>
  <c r="B16" i="2"/>
  <c r="B42" i="1"/>
  <c r="B38" i="1"/>
  <c r="B37" i="1"/>
  <c r="B39" i="1" s="1"/>
  <c r="B35" i="1"/>
  <c r="B33" i="1"/>
  <c r="B28" i="1"/>
  <c r="B27" i="1"/>
  <c r="B30" i="1" s="1"/>
  <c r="B24" i="1"/>
  <c r="B25" i="1" s="1"/>
  <c r="B31" i="1" s="1"/>
  <c r="B20" i="1"/>
  <c r="B18" i="1"/>
  <c r="B12" i="1"/>
  <c r="B11" i="1"/>
  <c r="B10" i="1"/>
  <c r="B8" i="1"/>
  <c r="B13" i="1" s="1"/>
  <c r="B14" i="1" s="1"/>
  <c r="B15" i="1" s="1"/>
  <c r="A7" i="2"/>
  <c r="D13" i="1"/>
  <c r="D10" i="1"/>
  <c r="C43" i="1" l="1"/>
  <c r="E10" i="1"/>
  <c r="C13" i="1"/>
  <c r="C14" i="1" s="1"/>
  <c r="C15" i="1" s="1"/>
  <c r="C44" i="1" s="1"/>
  <c r="C45" i="1" s="1"/>
  <c r="D18" i="2"/>
  <c r="D41" i="2" s="1"/>
  <c r="D11" i="2"/>
  <c r="D12" i="2" s="1"/>
  <c r="D13" i="2" s="1"/>
  <c r="B44" i="1"/>
  <c r="B45" i="1" s="1"/>
  <c r="B43" i="1"/>
  <c r="G53" i="1"/>
  <c r="A5" i="2"/>
  <c r="A4" i="2"/>
  <c r="D42" i="2" l="1"/>
  <c r="D43" i="2" s="1"/>
  <c r="G39" i="1"/>
  <c r="G35" i="1"/>
  <c r="D29" i="1"/>
  <c r="E29" i="1" s="1"/>
  <c r="G30" i="1"/>
  <c r="G25" i="1"/>
  <c r="G20" i="1"/>
  <c r="G13" i="1"/>
  <c r="G14" i="1" s="1"/>
  <c r="G15" i="1" s="1"/>
  <c r="D42" i="1"/>
  <c r="F42" i="1" s="1"/>
  <c r="F41" i="1"/>
  <c r="E41" i="1"/>
  <c r="F40" i="1"/>
  <c r="E40" i="1"/>
  <c r="D38" i="1"/>
  <c r="F38" i="1" s="1"/>
  <c r="D37" i="1"/>
  <c r="F36" i="1"/>
  <c r="E36" i="1"/>
  <c r="D34" i="1"/>
  <c r="D33" i="1"/>
  <c r="F32" i="1"/>
  <c r="E32" i="1"/>
  <c r="D27" i="1"/>
  <c r="F26" i="1"/>
  <c r="E26" i="1"/>
  <c r="D24" i="1"/>
  <c r="D23" i="1"/>
  <c r="F23" i="1" s="1"/>
  <c r="F22" i="1"/>
  <c r="E22" i="1"/>
  <c r="F21" i="1"/>
  <c r="E21" i="1"/>
  <c r="D18" i="1"/>
  <c r="D20" i="1" s="1"/>
  <c r="F17" i="1"/>
  <c r="E17" i="1"/>
  <c r="F12" i="1"/>
  <c r="E12" i="1"/>
  <c r="D11" i="1"/>
  <c r="F9" i="1"/>
  <c r="E9" i="1"/>
  <c r="D8" i="1"/>
  <c r="F7" i="1"/>
  <c r="E7" i="1"/>
  <c r="D30" i="1" l="1"/>
  <c r="E30" i="1" s="1"/>
  <c r="G44" i="1"/>
  <c r="G45" i="1" s="1"/>
  <c r="G43" i="1"/>
  <c r="F24" i="1"/>
  <c r="D39" i="1"/>
  <c r="E39" i="1" s="1"/>
  <c r="F27" i="1"/>
  <c r="F33" i="1"/>
  <c r="D14" i="1"/>
  <c r="E37" i="1"/>
  <c r="E11" i="1"/>
  <c r="E24" i="1"/>
  <c r="F29" i="1"/>
  <c r="F34" i="1"/>
  <c r="E27" i="1"/>
  <c r="F37" i="1"/>
  <c r="E42" i="1"/>
  <c r="F11" i="1"/>
  <c r="E8" i="1"/>
  <c r="E13" i="1" s="1"/>
  <c r="E33" i="1"/>
  <c r="F20" i="1"/>
  <c r="E20" i="1"/>
  <c r="E18" i="1"/>
  <c r="F8" i="1"/>
  <c r="F18" i="1"/>
  <c r="D35" i="1"/>
  <c r="E34" i="1"/>
  <c r="D25" i="1"/>
  <c r="E23" i="1"/>
  <c r="E38" i="1"/>
  <c r="D31" i="1" l="1"/>
  <c r="F30" i="1"/>
  <c r="F39" i="1"/>
  <c r="F35" i="1"/>
  <c r="F25" i="1"/>
  <c r="F14" i="1"/>
  <c r="E25" i="1"/>
  <c r="D15" i="1"/>
  <c r="E35" i="1"/>
  <c r="F13" i="1"/>
  <c r="E31" i="1" l="1"/>
  <c r="F31" i="1"/>
  <c r="D43" i="1"/>
  <c r="F15" i="1"/>
  <c r="E14" i="1"/>
  <c r="E43" i="1" l="1"/>
  <c r="F43" i="1"/>
  <c r="E15" i="1"/>
  <c r="D44" i="1"/>
  <c r="E44" i="1" l="1"/>
  <c r="D45" i="1"/>
  <c r="F44" i="1"/>
  <c r="F45" i="1" l="1"/>
  <c r="E45" i="1"/>
</calcChain>
</file>

<file path=xl/sharedStrings.xml><?xml version="1.0" encoding="utf-8"?>
<sst xmlns="http://schemas.openxmlformats.org/spreadsheetml/2006/main" count="95" uniqueCount="55">
  <si>
    <t>Actual</t>
  </si>
  <si>
    <t>Budget</t>
  </si>
  <si>
    <t>Revenue</t>
  </si>
  <si>
    <t xml:space="preserve">   Donation</t>
  </si>
  <si>
    <t xml:space="preserve">      Amazon Smile</t>
  </si>
  <si>
    <t xml:space="preserve">      Day of Giving Match</t>
  </si>
  <si>
    <t xml:space="preserve">      Memberships - Trail Groups</t>
  </si>
  <si>
    <t xml:space="preserve">   Total Donation</t>
  </si>
  <si>
    <t>Total Revenue</t>
  </si>
  <si>
    <t>Expenditures</t>
  </si>
  <si>
    <t xml:space="preserve">   Bank/ Online Fee</t>
  </si>
  <si>
    <t xml:space="preserve">      PayPal fees</t>
  </si>
  <si>
    <t xml:space="preserve">   Total Bank/ Online Fee</t>
  </si>
  <si>
    <t xml:space="preserve">   Committees</t>
  </si>
  <si>
    <t xml:space="preserve">      Connections Committee</t>
  </si>
  <si>
    <t xml:space="preserve">         Miscellanous</t>
  </si>
  <si>
    <t xml:space="preserve">         Trail Counters and Software</t>
  </si>
  <si>
    <t xml:space="preserve">      Total Connections Committee</t>
  </si>
  <si>
    <t xml:space="preserve">      Marketing and Membership Committee</t>
  </si>
  <si>
    <t xml:space="preserve">         Annual Report</t>
  </si>
  <si>
    <t xml:space="preserve">         Brochure - rack card fold out</t>
  </si>
  <si>
    <t xml:space="preserve">      Total Marketing and Membership Committee</t>
  </si>
  <si>
    <t xml:space="preserve">   Total Committees</t>
  </si>
  <si>
    <t xml:space="preserve">   Legal &amp; Professional Fees</t>
  </si>
  <si>
    <t xml:space="preserve">      Insurance - D&amp; O, other</t>
  </si>
  <si>
    <t xml:space="preserve">      PANO - Search Results Web Result with Site Links  Pennsylvania Association of Nonprofit Organization</t>
  </si>
  <si>
    <t xml:space="preserve">   Total Legal &amp; Professional Fees</t>
  </si>
  <si>
    <t xml:space="preserve">   Office Supplies</t>
  </si>
  <si>
    <t xml:space="preserve">      Secretary Miscellaneous</t>
  </si>
  <si>
    <t xml:space="preserve">      Treasurer Miscellaneous</t>
  </si>
  <si>
    <t xml:space="preserve">   Total Office Supplies</t>
  </si>
  <si>
    <t xml:space="preserve">   Special Event Expense</t>
  </si>
  <si>
    <t xml:space="preserve">      EPTA Summit 2020</t>
  </si>
  <si>
    <t xml:space="preserve">   Total Special Event Expense</t>
  </si>
  <si>
    <t>Total Expenditures</t>
  </si>
  <si>
    <t>Net Operating Revenue</t>
  </si>
  <si>
    <t>Net Revenue</t>
  </si>
  <si>
    <t>Friday, Oct 02, 2020 03:54:43 AM GMT-7 - Accrual Basis</t>
  </si>
  <si>
    <t>Erie to Pittsburgh Trail Alliance, Inc.</t>
  </si>
  <si>
    <t>varence</t>
  </si>
  <si>
    <t>percent</t>
  </si>
  <si>
    <t>budget</t>
  </si>
  <si>
    <t xml:space="preserve">        P/R Marketing</t>
  </si>
  <si>
    <t>Acturals 2019, 2020 - Budget 2020, varence,percent - Budget 2012</t>
  </si>
  <si>
    <t>Gross Revenue</t>
  </si>
  <si>
    <t xml:space="preserve">      Miscellaneous - Donation</t>
  </si>
  <si>
    <t>Gross Profit</t>
  </si>
  <si>
    <t>DCNR Grant</t>
  </si>
  <si>
    <t>cash match funds expected</t>
  </si>
  <si>
    <t>cash match funds committed</t>
  </si>
  <si>
    <t xml:space="preserve"> non-cash match Volunteers</t>
  </si>
  <si>
    <t>expenses </t>
  </si>
  <si>
    <t>net </t>
  </si>
  <si>
    <t xml:space="preserve">      Memberships - Other</t>
  </si>
  <si>
    <t xml:space="preserve">      United Way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</si>
</sst>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_(&quot;$&quot;* #,##0.00_);_(&quot;$&quot;* \(#,##0.00\);_(&quot;$&quot;* &quot;-&quot;??_);_(* @_)"/>
  </numFmts>
  <fonts count="8" x14ac:knownFonts="1"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39" fontId="2" fillId="0" borderId="0" xfId="0" applyNumberFormat="1" applyFont="1" applyAlignment="1">
      <alignment wrapText="1"/>
    </xf>
    <xf numFmtId="3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39" fontId="1" fillId="0" borderId="2" xfId="0" applyNumberFormat="1" applyFont="1" applyBorder="1" applyAlignment="1">
      <alignment horizontal="right" wrapText="1"/>
    </xf>
    <xf numFmtId="37" fontId="1" fillId="0" borderId="0" xfId="0" applyNumberFormat="1" applyFont="1" applyAlignment="1">
      <alignment horizontal="center" vertical="center" wrapText="1"/>
    </xf>
    <xf numFmtId="37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0" borderId="0" xfId="0"/>
    <xf numFmtId="0" fontId="0" fillId="0" borderId="0" xfId="0"/>
    <xf numFmtId="10" fontId="2" fillId="0" borderId="0" xfId="0" applyNumberFormat="1" applyFont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0" fontId="1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>
      <selection activeCell="C5" sqref="C5:C45"/>
    </sheetView>
  </sheetViews>
  <sheetFormatPr defaultRowHeight="15" x14ac:dyDescent="0.25"/>
  <cols>
    <col min="1" max="1" width="38.5703125" customWidth="1"/>
    <col min="2" max="6" width="10.5703125" customWidth="1"/>
    <col min="7" max="7" width="9.5703125" style="11" customWidth="1"/>
  </cols>
  <sheetData>
    <row r="1" spans="1:7" ht="18" x14ac:dyDescent="0.25">
      <c r="A1" s="26" t="s">
        <v>38</v>
      </c>
      <c r="B1" s="27"/>
      <c r="C1" s="27"/>
      <c r="D1" s="27"/>
      <c r="E1" s="27"/>
    </row>
    <row r="2" spans="1:7" ht="18" x14ac:dyDescent="0.25">
      <c r="A2" s="28" t="s">
        <v>43</v>
      </c>
      <c r="B2" s="27"/>
      <c r="C2" s="27"/>
      <c r="D2" s="27"/>
      <c r="E2" s="27"/>
    </row>
    <row r="4" spans="1:7" x14ac:dyDescent="0.25">
      <c r="A4" s="7"/>
      <c r="B4" s="8">
        <v>2019</v>
      </c>
      <c r="C4" s="8">
        <v>2020</v>
      </c>
      <c r="D4" s="8">
        <v>2020</v>
      </c>
      <c r="E4" s="8">
        <v>2020</v>
      </c>
      <c r="F4" s="8">
        <v>2020</v>
      </c>
      <c r="G4" s="12">
        <v>2021</v>
      </c>
    </row>
    <row r="5" spans="1:7" x14ac:dyDescent="0.25">
      <c r="A5" s="1"/>
      <c r="B5" s="9" t="s">
        <v>0</v>
      </c>
      <c r="C5" s="9" t="s">
        <v>0</v>
      </c>
      <c r="D5" s="9" t="s">
        <v>1</v>
      </c>
      <c r="E5" s="9" t="s">
        <v>39</v>
      </c>
      <c r="F5" s="10" t="s">
        <v>40</v>
      </c>
      <c r="G5" s="13" t="s">
        <v>41</v>
      </c>
    </row>
    <row r="6" spans="1:7" x14ac:dyDescent="0.25">
      <c r="A6" s="2" t="s">
        <v>2</v>
      </c>
      <c r="B6" s="3"/>
      <c r="C6" s="3"/>
      <c r="D6" s="3"/>
      <c r="E6" s="3"/>
      <c r="F6" s="3"/>
      <c r="G6" s="14"/>
    </row>
    <row r="7" spans="1:7" x14ac:dyDescent="0.25">
      <c r="A7" s="2" t="s">
        <v>3</v>
      </c>
      <c r="B7" s="3"/>
      <c r="C7" s="3"/>
      <c r="D7" s="3"/>
      <c r="E7" s="4">
        <f t="shared" ref="E7:E15" si="0">(C7)-(D7)</f>
        <v>0</v>
      </c>
      <c r="F7" s="15" t="str">
        <f t="shared" ref="F7:F15" si="1">IF(D7=0,"",(C7)/(D7))</f>
        <v/>
      </c>
      <c r="G7" s="18"/>
    </row>
    <row r="8" spans="1:7" x14ac:dyDescent="0.25">
      <c r="A8" s="2" t="s">
        <v>4</v>
      </c>
      <c r="B8" s="4">
        <f>5</f>
        <v>5</v>
      </c>
      <c r="C8" s="4">
        <f>7</f>
        <v>7</v>
      </c>
      <c r="D8" s="4">
        <f>5</f>
        <v>5</v>
      </c>
      <c r="E8" s="4">
        <f t="shared" si="0"/>
        <v>2</v>
      </c>
      <c r="F8" s="15">
        <f t="shared" si="1"/>
        <v>1.4</v>
      </c>
      <c r="G8" s="18">
        <v>5</v>
      </c>
    </row>
    <row r="9" spans="1:7" x14ac:dyDescent="0.25">
      <c r="A9" s="2" t="s">
        <v>5</v>
      </c>
      <c r="B9" s="3"/>
      <c r="C9" s="4">
        <f>239.87</f>
        <v>239.87</v>
      </c>
      <c r="D9" s="3"/>
      <c r="E9" s="4">
        <f t="shared" si="0"/>
        <v>239.87</v>
      </c>
      <c r="F9" s="15" t="str">
        <f t="shared" si="1"/>
        <v/>
      </c>
      <c r="G9" s="18"/>
    </row>
    <row r="10" spans="1:7" s="22" customFormat="1" x14ac:dyDescent="0.25">
      <c r="A10" s="2" t="s">
        <v>53</v>
      </c>
      <c r="B10" s="4">
        <f>341.48</f>
        <v>341.48</v>
      </c>
      <c r="C10" s="4">
        <f>670</f>
        <v>670</v>
      </c>
      <c r="D10" s="4">
        <f>1000</f>
        <v>1000</v>
      </c>
      <c r="E10" s="4">
        <f t="shared" ref="E10" si="2">(C10)-(D10)</f>
        <v>-330</v>
      </c>
      <c r="F10" s="15">
        <f t="shared" ref="F10" si="3">IF(D10=0,"",(C10)/(D10))</f>
        <v>0.67</v>
      </c>
      <c r="G10" s="18">
        <v>900</v>
      </c>
    </row>
    <row r="11" spans="1:7" x14ac:dyDescent="0.25">
      <c r="A11" s="2" t="s">
        <v>6</v>
      </c>
      <c r="B11" s="4">
        <f>1500</f>
        <v>1500</v>
      </c>
      <c r="C11" s="4">
        <f>1900</f>
        <v>1900</v>
      </c>
      <c r="D11" s="4">
        <f>1300</f>
        <v>1300</v>
      </c>
      <c r="E11" s="4">
        <f t="shared" si="0"/>
        <v>600</v>
      </c>
      <c r="F11" s="15">
        <f t="shared" si="1"/>
        <v>1.4615384615384615</v>
      </c>
      <c r="G11" s="18">
        <v>1800</v>
      </c>
    </row>
    <row r="12" spans="1:7" x14ac:dyDescent="0.25">
      <c r="A12" s="2" t="s">
        <v>45</v>
      </c>
      <c r="B12" s="4">
        <f>1260.5</f>
        <v>1260.5</v>
      </c>
      <c r="C12" s="4">
        <f>264</f>
        <v>264</v>
      </c>
      <c r="D12" s="3"/>
      <c r="E12" s="4">
        <f t="shared" si="0"/>
        <v>264</v>
      </c>
      <c r="F12" s="15" t="str">
        <f t="shared" si="1"/>
        <v/>
      </c>
      <c r="G12" s="18"/>
    </row>
    <row r="13" spans="1:7" x14ac:dyDescent="0.25">
      <c r="A13" s="2" t="s">
        <v>7</v>
      </c>
      <c r="B13" s="24">
        <f>(((((B7)+(B8))+(B9))+(B10))+(B11))+(B12)</f>
        <v>3106.98</v>
      </c>
      <c r="C13" s="24">
        <f>(((((C7)+(C8))+(C9))+(C10))+(C11))+(C12)</f>
        <v>3080.87</v>
      </c>
      <c r="D13" s="18">
        <f t="shared" ref="C13:E13" si="4">SUM(D7:D12)</f>
        <v>2305</v>
      </c>
      <c r="E13" s="18">
        <f t="shared" si="4"/>
        <v>775.87</v>
      </c>
      <c r="F13" s="16">
        <f t="shared" si="1"/>
        <v>1.3366030368763557</v>
      </c>
      <c r="G13" s="18">
        <f>SUM(G7:G12)</f>
        <v>2705</v>
      </c>
    </row>
    <row r="14" spans="1:7" x14ac:dyDescent="0.25">
      <c r="A14" s="2" t="s">
        <v>8</v>
      </c>
      <c r="B14" s="24">
        <f>B13</f>
        <v>3106.98</v>
      </c>
      <c r="C14" s="24">
        <f>C13</f>
        <v>3080.87</v>
      </c>
      <c r="D14" s="17">
        <f>D13</f>
        <v>2305</v>
      </c>
      <c r="E14" s="17">
        <f t="shared" si="0"/>
        <v>775.86999999999989</v>
      </c>
      <c r="F14" s="16">
        <f t="shared" si="1"/>
        <v>1.3366030368763557</v>
      </c>
      <c r="G14" s="18">
        <f>G13</f>
        <v>2705</v>
      </c>
    </row>
    <row r="15" spans="1:7" x14ac:dyDescent="0.25">
      <c r="A15" s="20" t="s">
        <v>44</v>
      </c>
      <c r="B15" s="24">
        <f>(B14)-(0)</f>
        <v>3106.98</v>
      </c>
      <c r="C15" s="24">
        <f>(C14)-(0)</f>
        <v>3080.87</v>
      </c>
      <c r="D15" s="17">
        <f>(D14)-(0)</f>
        <v>2305</v>
      </c>
      <c r="E15" s="17">
        <f t="shared" si="0"/>
        <v>775.86999999999989</v>
      </c>
      <c r="F15" s="16">
        <f t="shared" si="1"/>
        <v>1.3366030368763557</v>
      </c>
      <c r="G15" s="18">
        <f>G14</f>
        <v>2705</v>
      </c>
    </row>
    <row r="16" spans="1:7" x14ac:dyDescent="0.25">
      <c r="A16" s="2" t="s">
        <v>9</v>
      </c>
      <c r="B16" s="3"/>
      <c r="C16" s="3"/>
      <c r="D16" s="3"/>
      <c r="E16" s="3"/>
      <c r="F16" s="15"/>
      <c r="G16" s="18"/>
    </row>
    <row r="17" spans="1:7" x14ac:dyDescent="0.25">
      <c r="A17" s="2" t="s">
        <v>10</v>
      </c>
      <c r="B17" s="3"/>
      <c r="C17" s="3"/>
      <c r="D17" s="3"/>
      <c r="E17" s="4">
        <f t="shared" ref="E17:E45" si="5">(C17)-(D17)</f>
        <v>0</v>
      </c>
      <c r="F17" s="15" t="str">
        <f t="shared" ref="F17:F45" si="6">IF(D17=0,"",(C17)/(D17))</f>
        <v/>
      </c>
      <c r="G17" s="18"/>
    </row>
    <row r="18" spans="1:7" x14ac:dyDescent="0.25">
      <c r="A18" s="2" t="s">
        <v>11</v>
      </c>
      <c r="B18" s="4">
        <f>7.49</f>
        <v>7.49</v>
      </c>
      <c r="C18" s="4">
        <f>3.07</f>
        <v>3.07</v>
      </c>
      <c r="D18" s="4">
        <f>10</f>
        <v>10</v>
      </c>
      <c r="E18" s="4">
        <f t="shared" si="5"/>
        <v>-6.93</v>
      </c>
      <c r="F18" s="15">
        <f t="shared" si="6"/>
        <v>0.307</v>
      </c>
      <c r="G18" s="18">
        <v>10</v>
      </c>
    </row>
    <row r="19" spans="1:7" s="22" customFormat="1" x14ac:dyDescent="0.25">
      <c r="A19" s="2" t="s">
        <v>54</v>
      </c>
      <c r="B19" s="4"/>
      <c r="C19" s="4">
        <f>6</f>
        <v>6</v>
      </c>
      <c r="D19" s="4"/>
      <c r="E19" s="4"/>
      <c r="F19" s="15"/>
      <c r="G19" s="18"/>
    </row>
    <row r="20" spans="1:7" x14ac:dyDescent="0.25">
      <c r="A20" s="2" t="s">
        <v>12</v>
      </c>
      <c r="B20" s="24">
        <f>(B17)+(B18)</f>
        <v>7.49</v>
      </c>
      <c r="C20" s="24">
        <f>((C17)+(C18))+(C19)</f>
        <v>9.07</v>
      </c>
      <c r="D20" s="17">
        <f>(D17)+(D18)</f>
        <v>10</v>
      </c>
      <c r="E20" s="17">
        <f t="shared" si="5"/>
        <v>-0.92999999999999972</v>
      </c>
      <c r="F20" s="16">
        <f t="shared" si="6"/>
        <v>0.90700000000000003</v>
      </c>
      <c r="G20" s="18">
        <f>SUM(G17:G18)</f>
        <v>10</v>
      </c>
    </row>
    <row r="21" spans="1:7" x14ac:dyDescent="0.25">
      <c r="A21" s="2" t="s">
        <v>13</v>
      </c>
      <c r="B21" s="3"/>
      <c r="C21" s="3"/>
      <c r="D21" s="3"/>
      <c r="E21" s="4">
        <f t="shared" si="5"/>
        <v>0</v>
      </c>
      <c r="F21" s="15" t="str">
        <f t="shared" si="6"/>
        <v/>
      </c>
      <c r="G21" s="18"/>
    </row>
    <row r="22" spans="1:7" x14ac:dyDescent="0.25">
      <c r="A22" s="2" t="s">
        <v>14</v>
      </c>
      <c r="B22" s="3"/>
      <c r="C22" s="3"/>
      <c r="D22" s="3"/>
      <c r="E22" s="4">
        <f t="shared" si="5"/>
        <v>0</v>
      </c>
      <c r="F22" s="15" t="str">
        <f t="shared" si="6"/>
        <v/>
      </c>
      <c r="G22" s="18"/>
    </row>
    <row r="23" spans="1:7" x14ac:dyDescent="0.25">
      <c r="A23" s="2" t="s">
        <v>15</v>
      </c>
      <c r="B23" s="3"/>
      <c r="C23" s="3"/>
      <c r="D23" s="4">
        <f>200</f>
        <v>200</v>
      </c>
      <c r="E23" s="4">
        <f t="shared" si="5"/>
        <v>-200</v>
      </c>
      <c r="F23" s="15">
        <f t="shared" si="6"/>
        <v>0</v>
      </c>
      <c r="G23" s="18">
        <v>200</v>
      </c>
    </row>
    <row r="24" spans="1:7" x14ac:dyDescent="0.25">
      <c r="A24" s="2" t="s">
        <v>16</v>
      </c>
      <c r="B24" s="4">
        <f>100</f>
        <v>100</v>
      </c>
      <c r="C24" s="4">
        <f>100</f>
        <v>100</v>
      </c>
      <c r="D24" s="4">
        <f>100</f>
        <v>100</v>
      </c>
      <c r="E24" s="4">
        <f t="shared" si="5"/>
        <v>0</v>
      </c>
      <c r="F24" s="15">
        <f t="shared" si="6"/>
        <v>1</v>
      </c>
      <c r="G24" s="18">
        <v>100</v>
      </c>
    </row>
    <row r="25" spans="1:7" x14ac:dyDescent="0.25">
      <c r="A25" s="2" t="s">
        <v>17</v>
      </c>
      <c r="B25" s="24">
        <f>((B22)+(B23))+(B24)</f>
        <v>100</v>
      </c>
      <c r="C25" s="24">
        <f>((C22)+(C23))+(C24)</f>
        <v>100</v>
      </c>
      <c r="D25" s="17">
        <f>((D22)+(D23))+(D24)</f>
        <v>300</v>
      </c>
      <c r="E25" s="17">
        <f t="shared" si="5"/>
        <v>-200</v>
      </c>
      <c r="F25" s="16">
        <f t="shared" si="6"/>
        <v>0.33333333333333331</v>
      </c>
      <c r="G25" s="18">
        <f>SUM(G22:G24)</f>
        <v>300</v>
      </c>
    </row>
    <row r="26" spans="1:7" x14ac:dyDescent="0.25">
      <c r="A26" s="2" t="s">
        <v>18</v>
      </c>
      <c r="B26" s="3"/>
      <c r="C26" s="3"/>
      <c r="D26" s="3"/>
      <c r="E26" s="4">
        <f t="shared" si="5"/>
        <v>0</v>
      </c>
      <c r="F26" s="15" t="str">
        <f t="shared" si="6"/>
        <v/>
      </c>
      <c r="G26" s="18"/>
    </row>
    <row r="27" spans="1:7" x14ac:dyDescent="0.25">
      <c r="A27" s="2" t="s">
        <v>19</v>
      </c>
      <c r="B27" s="4">
        <f>249.07</f>
        <v>249.07</v>
      </c>
      <c r="C27" s="4">
        <f>15.88</f>
        <v>15.88</v>
      </c>
      <c r="D27" s="4">
        <f>775</f>
        <v>775</v>
      </c>
      <c r="E27" s="4">
        <f t="shared" si="5"/>
        <v>-759.12</v>
      </c>
      <c r="F27" s="15">
        <f t="shared" si="6"/>
        <v>2.0490322580645162E-2</v>
      </c>
      <c r="G27" s="18">
        <v>775</v>
      </c>
    </row>
    <row r="28" spans="1:7" x14ac:dyDescent="0.25">
      <c r="A28" s="2" t="s">
        <v>42</v>
      </c>
      <c r="B28" s="4">
        <f>265.5</f>
        <v>265.5</v>
      </c>
      <c r="C28" s="4"/>
      <c r="D28" s="4"/>
      <c r="E28" s="4"/>
      <c r="F28" s="15"/>
      <c r="G28" s="18">
        <v>400</v>
      </c>
    </row>
    <row r="29" spans="1:7" x14ac:dyDescent="0.25">
      <c r="A29" s="2" t="s">
        <v>20</v>
      </c>
      <c r="B29" s="22"/>
      <c r="C29" s="3"/>
      <c r="D29" s="4">
        <f>1900</f>
        <v>1900</v>
      </c>
      <c r="E29" s="4">
        <f t="shared" si="5"/>
        <v>-1900</v>
      </c>
      <c r="F29" s="15">
        <f t="shared" si="6"/>
        <v>0</v>
      </c>
      <c r="G29" s="18"/>
    </row>
    <row r="30" spans="1:7" ht="23.25" x14ac:dyDescent="0.25">
      <c r="A30" s="2" t="s">
        <v>21</v>
      </c>
      <c r="B30" s="24">
        <f>SUM(B26:B29)</f>
        <v>514.56999999999994</v>
      </c>
      <c r="C30" s="24">
        <f>((C26)+(C27))+(C29)</f>
        <v>15.88</v>
      </c>
      <c r="D30" s="17">
        <f>((D26)+(D27))+(D29)</f>
        <v>2675</v>
      </c>
      <c r="E30" s="17">
        <f t="shared" si="5"/>
        <v>-2659.12</v>
      </c>
      <c r="F30" s="16">
        <f t="shared" si="6"/>
        <v>5.9364485981308413E-3</v>
      </c>
      <c r="G30" s="18">
        <f>SUM(G26:G29)</f>
        <v>1175</v>
      </c>
    </row>
    <row r="31" spans="1:7" x14ac:dyDescent="0.25">
      <c r="A31" s="2" t="s">
        <v>22</v>
      </c>
      <c r="B31" s="24">
        <f>((B21)+(B25))+(B30)</f>
        <v>614.56999999999994</v>
      </c>
      <c r="C31" s="24">
        <f>((C21)+(C25))+(C30)</f>
        <v>115.88</v>
      </c>
      <c r="D31" s="17">
        <f>((D21)+(D25))+(D30)</f>
        <v>2975</v>
      </c>
      <c r="E31" s="17">
        <f t="shared" si="5"/>
        <v>-2859.12</v>
      </c>
      <c r="F31" s="16">
        <f t="shared" si="6"/>
        <v>3.8951260504201682E-2</v>
      </c>
      <c r="G31" s="18"/>
    </row>
    <row r="32" spans="1:7" x14ac:dyDescent="0.25">
      <c r="A32" s="2" t="s">
        <v>23</v>
      </c>
      <c r="B32" s="3"/>
      <c r="C32" s="3"/>
      <c r="D32" s="3"/>
      <c r="E32" s="4">
        <f t="shared" si="5"/>
        <v>0</v>
      </c>
      <c r="F32" s="15" t="str">
        <f t="shared" si="6"/>
        <v/>
      </c>
      <c r="G32" s="18"/>
    </row>
    <row r="33" spans="1:7" x14ac:dyDescent="0.25">
      <c r="A33" s="2" t="s">
        <v>24</v>
      </c>
      <c r="B33" s="4">
        <f>365</f>
        <v>365</v>
      </c>
      <c r="C33" s="4">
        <f>365</f>
        <v>365</v>
      </c>
      <c r="D33" s="4">
        <f>400</f>
        <v>400</v>
      </c>
      <c r="E33" s="4">
        <f t="shared" si="5"/>
        <v>-35</v>
      </c>
      <c r="F33" s="15">
        <f t="shared" si="6"/>
        <v>0.91249999999999998</v>
      </c>
      <c r="G33" s="18">
        <v>400</v>
      </c>
    </row>
    <row r="34" spans="1:7" ht="34.5" x14ac:dyDescent="0.25">
      <c r="A34" s="2" t="s">
        <v>25</v>
      </c>
      <c r="B34" s="3"/>
      <c r="C34" s="4">
        <f>105</f>
        <v>105</v>
      </c>
      <c r="D34" s="4">
        <f>105</f>
        <v>105</v>
      </c>
      <c r="E34" s="4">
        <f t="shared" si="5"/>
        <v>0</v>
      </c>
      <c r="F34" s="15">
        <f t="shared" si="6"/>
        <v>1</v>
      </c>
      <c r="G34" s="18">
        <v>105</v>
      </c>
    </row>
    <row r="35" spans="1:7" x14ac:dyDescent="0.25">
      <c r="A35" s="2" t="s">
        <v>26</v>
      </c>
      <c r="B35" s="24">
        <f>((B32)+(B33))+(B34)</f>
        <v>365</v>
      </c>
      <c r="C35" s="24">
        <f>((C32)+(C33))+(C34)</f>
        <v>470</v>
      </c>
      <c r="D35" s="17">
        <f>((D32)+(D33))+(D34)</f>
        <v>505</v>
      </c>
      <c r="E35" s="17">
        <f t="shared" si="5"/>
        <v>-35</v>
      </c>
      <c r="F35" s="16">
        <f t="shared" si="6"/>
        <v>0.93069306930693074</v>
      </c>
      <c r="G35" s="18">
        <f>SUM(G32:G34)</f>
        <v>505</v>
      </c>
    </row>
    <row r="36" spans="1:7" x14ac:dyDescent="0.25">
      <c r="A36" s="2" t="s">
        <v>27</v>
      </c>
      <c r="B36" s="3"/>
      <c r="C36" s="3"/>
      <c r="D36" s="3"/>
      <c r="E36" s="4">
        <f t="shared" si="5"/>
        <v>0</v>
      </c>
      <c r="F36" s="15" t="str">
        <f t="shared" si="6"/>
        <v/>
      </c>
      <c r="G36" s="18"/>
    </row>
    <row r="37" spans="1:7" x14ac:dyDescent="0.25">
      <c r="A37" s="2" t="s">
        <v>28</v>
      </c>
      <c r="B37" s="4">
        <f>380.54</f>
        <v>380.54</v>
      </c>
      <c r="C37" s="4">
        <f>70.68</f>
        <v>70.680000000000007</v>
      </c>
      <c r="D37" s="4">
        <f>100</f>
        <v>100</v>
      </c>
      <c r="E37" s="4">
        <f t="shared" si="5"/>
        <v>-29.319999999999993</v>
      </c>
      <c r="F37" s="15">
        <f t="shared" si="6"/>
        <v>0.70680000000000009</v>
      </c>
      <c r="G37" s="18">
        <v>70</v>
      </c>
    </row>
    <row r="38" spans="1:7" x14ac:dyDescent="0.25">
      <c r="A38" s="2" t="s">
        <v>29</v>
      </c>
      <c r="B38" s="4">
        <f>50</f>
        <v>50</v>
      </c>
      <c r="C38" s="3"/>
      <c r="D38" s="4">
        <f>65</f>
        <v>65</v>
      </c>
      <c r="E38" s="4">
        <f t="shared" si="5"/>
        <v>-65</v>
      </c>
      <c r="F38" s="15">
        <f t="shared" si="6"/>
        <v>0</v>
      </c>
      <c r="G38" s="18">
        <v>2565</v>
      </c>
    </row>
    <row r="39" spans="1:7" x14ac:dyDescent="0.25">
      <c r="A39" s="2" t="s">
        <v>30</v>
      </c>
      <c r="B39" s="24">
        <f>((B36)+(B37))+(B38)</f>
        <v>430.54</v>
      </c>
      <c r="C39" s="24">
        <f>((C36)+(C37))+(C38)</f>
        <v>70.680000000000007</v>
      </c>
      <c r="D39" s="17">
        <f>((D36)+(D37))+(D38)</f>
        <v>165</v>
      </c>
      <c r="E39" s="17">
        <f t="shared" si="5"/>
        <v>-94.32</v>
      </c>
      <c r="F39" s="16">
        <f t="shared" si="6"/>
        <v>0.42836363636363639</v>
      </c>
      <c r="G39" s="18">
        <f>SUM(G36:G38)</f>
        <v>2635</v>
      </c>
    </row>
    <row r="40" spans="1:7" x14ac:dyDescent="0.25">
      <c r="A40" s="2" t="s">
        <v>31</v>
      </c>
      <c r="B40" s="3"/>
      <c r="C40" s="3"/>
      <c r="D40" s="3"/>
      <c r="E40" s="4">
        <f t="shared" si="5"/>
        <v>0</v>
      </c>
      <c r="F40" s="15" t="str">
        <f t="shared" si="6"/>
        <v/>
      </c>
      <c r="G40" s="18"/>
    </row>
    <row r="41" spans="1:7" x14ac:dyDescent="0.25">
      <c r="A41" s="2" t="s">
        <v>32</v>
      </c>
      <c r="B41" s="3"/>
      <c r="C41" s="4">
        <f>331.1</f>
        <v>331.1</v>
      </c>
      <c r="D41" s="3"/>
      <c r="E41" s="4">
        <f t="shared" si="5"/>
        <v>331.1</v>
      </c>
      <c r="F41" s="15" t="str">
        <f t="shared" si="6"/>
        <v/>
      </c>
      <c r="G41" s="18"/>
    </row>
    <row r="42" spans="1:7" x14ac:dyDescent="0.25">
      <c r="A42" s="2" t="s">
        <v>33</v>
      </c>
      <c r="B42" s="24">
        <f>(B40)+(B41)</f>
        <v>0</v>
      </c>
      <c r="C42" s="24">
        <f>(C40)+(C41)</f>
        <v>331.1</v>
      </c>
      <c r="D42" s="17">
        <f>(D40)+(D41)</f>
        <v>0</v>
      </c>
      <c r="E42" s="17">
        <f t="shared" si="5"/>
        <v>331.1</v>
      </c>
      <c r="F42" s="16" t="str">
        <f t="shared" si="6"/>
        <v/>
      </c>
      <c r="G42" s="18"/>
    </row>
    <row r="43" spans="1:7" x14ac:dyDescent="0.25">
      <c r="A43" s="2" t="s">
        <v>34</v>
      </c>
      <c r="B43" s="24">
        <f>((((B20)+(B31))+(B35))+(B39))+(B42)</f>
        <v>1417.6</v>
      </c>
      <c r="C43" s="24">
        <f>((((C20)+(C31))+(C35))+(C39))+(C42)</f>
        <v>996.73000000000013</v>
      </c>
      <c r="D43" s="17">
        <f>((((D20)+(D31))+(D35))+(D39))+(D42)</f>
        <v>3655</v>
      </c>
      <c r="E43" s="17">
        <f t="shared" si="5"/>
        <v>-2658.27</v>
      </c>
      <c r="F43" s="16">
        <f t="shared" si="6"/>
        <v>0.27270314637482906</v>
      </c>
      <c r="G43" s="18">
        <f>SUM(G16:G42)/2</f>
        <v>4625</v>
      </c>
    </row>
    <row r="44" spans="1:7" x14ac:dyDescent="0.25">
      <c r="A44" s="2" t="s">
        <v>35</v>
      </c>
      <c r="B44" s="24">
        <f>(B15)-(B43)</f>
        <v>1689.38</v>
      </c>
      <c r="C44" s="24">
        <f>(C15)-(C43)</f>
        <v>2084.14</v>
      </c>
      <c r="D44" s="17">
        <f>(D15)-(D43)</f>
        <v>-1350</v>
      </c>
      <c r="E44" s="17">
        <f t="shared" si="5"/>
        <v>3434.14</v>
      </c>
      <c r="F44" s="16">
        <f t="shared" si="6"/>
        <v>-1.5438074074074073</v>
      </c>
      <c r="G44" s="18">
        <f>G15-G43</f>
        <v>-1920</v>
      </c>
    </row>
    <row r="45" spans="1:7" x14ac:dyDescent="0.25">
      <c r="A45" s="2" t="s">
        <v>36</v>
      </c>
      <c r="B45" s="24">
        <f>(B44)+(0)</f>
        <v>1689.38</v>
      </c>
      <c r="C45" s="24">
        <f>(C44)+(0)</f>
        <v>2084.14</v>
      </c>
      <c r="D45" s="17">
        <f>(D44)+(0)</f>
        <v>-1350</v>
      </c>
      <c r="E45" s="17">
        <f t="shared" si="5"/>
        <v>3434.14</v>
      </c>
      <c r="F45" s="16">
        <f t="shared" si="6"/>
        <v>-1.5438074074074073</v>
      </c>
      <c r="G45" s="19">
        <f>G44</f>
        <v>-1920</v>
      </c>
    </row>
    <row r="46" spans="1:7" x14ac:dyDescent="0.25">
      <c r="A46" s="2"/>
      <c r="B46" s="3"/>
      <c r="C46" s="3"/>
      <c r="D46" s="3"/>
      <c r="E46" s="3"/>
    </row>
    <row r="47" spans="1:7" s="6" customFormat="1" x14ac:dyDescent="0.25">
      <c r="A47" s="2"/>
      <c r="B47" s="3"/>
      <c r="C47" s="3"/>
      <c r="D47" s="3"/>
      <c r="E47" s="3"/>
      <c r="G47" s="11"/>
    </row>
    <row r="48" spans="1:7" s="6" customFormat="1" x14ac:dyDescent="0.25">
      <c r="A48" s="2"/>
      <c r="B48" s="3"/>
      <c r="C48" s="3"/>
      <c r="D48"/>
      <c r="E48" s="3" t="s">
        <v>47</v>
      </c>
      <c r="G48" s="19">
        <v>70000</v>
      </c>
    </row>
    <row r="49" spans="1:7" s="6" customFormat="1" x14ac:dyDescent="0.25">
      <c r="A49" s="2"/>
      <c r="B49" s="3"/>
      <c r="C49" s="3"/>
      <c r="D49"/>
      <c r="E49" s="21" t="s">
        <v>49</v>
      </c>
      <c r="G49" s="19">
        <v>0</v>
      </c>
    </row>
    <row r="50" spans="1:7" s="6" customFormat="1" x14ac:dyDescent="0.25">
      <c r="A50" s="2"/>
      <c r="B50" s="3"/>
      <c r="C50" s="3"/>
      <c r="D50"/>
      <c r="E50" s="21" t="s">
        <v>48</v>
      </c>
      <c r="G50" s="19">
        <v>71896</v>
      </c>
    </row>
    <row r="51" spans="1:7" s="6" customFormat="1" x14ac:dyDescent="0.25">
      <c r="A51" s="2"/>
      <c r="B51" s="3"/>
      <c r="C51" s="3"/>
      <c r="D51"/>
      <c r="E51" s="21" t="s">
        <v>50</v>
      </c>
      <c r="G51" s="19">
        <v>2541</v>
      </c>
    </row>
    <row r="52" spans="1:7" s="6" customFormat="1" x14ac:dyDescent="0.25">
      <c r="A52" s="2"/>
      <c r="B52" s="3"/>
      <c r="C52" s="3"/>
      <c r="D52"/>
      <c r="E52" s="21" t="s">
        <v>51</v>
      </c>
      <c r="G52" s="19">
        <v>-146292</v>
      </c>
    </row>
    <row r="53" spans="1:7" s="6" customFormat="1" x14ac:dyDescent="0.25">
      <c r="A53" s="2"/>
      <c r="B53" s="3"/>
      <c r="C53" s="3"/>
      <c r="D53"/>
      <c r="E53" s="21" t="s">
        <v>52</v>
      </c>
      <c r="G53" s="19">
        <f>SUM(G47:G52)</f>
        <v>-1855</v>
      </c>
    </row>
    <row r="54" spans="1:7" s="6" customFormat="1" x14ac:dyDescent="0.25">
      <c r="A54" s="2"/>
      <c r="B54" s="3"/>
      <c r="C54" s="3"/>
      <c r="D54" s="3"/>
      <c r="E54" s="3"/>
      <c r="G54" s="11"/>
    </row>
    <row r="55" spans="1:7" x14ac:dyDescent="0.25">
      <c r="A55" s="5" t="s">
        <v>37</v>
      </c>
    </row>
  </sheetData>
  <mergeCells count="2">
    <mergeCell ref="A1:E1"/>
    <mergeCell ref="A2:E2"/>
  </mergeCells>
  <pageMargins left="0.25" right="0.25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8705-DCEC-41C7-9E9C-51FDCFEC1ABD}">
  <dimension ref="A2:H48"/>
  <sheetViews>
    <sheetView workbookViewId="0">
      <selection activeCell="D3" sqref="D3:D43"/>
    </sheetView>
  </sheetViews>
  <sheetFormatPr defaultRowHeight="15" x14ac:dyDescent="0.25"/>
  <cols>
    <col min="2" max="2" width="27" customWidth="1"/>
    <col min="3" max="3" width="28.5703125" customWidth="1"/>
  </cols>
  <sheetData>
    <row r="2" spans="1:8" s="21" customFormat="1" x14ac:dyDescent="0.25">
      <c r="D2" s="21">
        <v>2019</v>
      </c>
    </row>
    <row r="3" spans="1:8" s="21" customFormat="1" x14ac:dyDescent="0.25">
      <c r="A3"/>
      <c r="B3"/>
      <c r="C3" s="1"/>
      <c r="D3" s="9" t="s">
        <v>0</v>
      </c>
      <c r="E3" s="9"/>
      <c r="F3" s="9"/>
      <c r="G3" s="9"/>
      <c r="H3"/>
    </row>
    <row r="4" spans="1:8" x14ac:dyDescent="0.25">
      <c r="A4" t="str">
        <f>IF(B4=C4,"-","ERROR")</f>
        <v>-</v>
      </c>
      <c r="B4" t="str">
        <f>'Budget vs. Actuals'!A6</f>
        <v>Revenue</v>
      </c>
      <c r="C4" s="2" t="s">
        <v>2</v>
      </c>
      <c r="D4" s="3"/>
      <c r="E4" s="3"/>
      <c r="F4" s="3"/>
      <c r="G4" s="3"/>
    </row>
    <row r="5" spans="1:8" x14ac:dyDescent="0.25">
      <c r="A5" s="21" t="str">
        <f t="shared" ref="A5:A48" si="0">IF(B5=C5,"-","ERROR")</f>
        <v>-</v>
      </c>
      <c r="B5" s="21" t="str">
        <f>'Budget vs. Actuals'!A7</f>
        <v xml:space="preserve">   Donation</v>
      </c>
      <c r="C5" s="2" t="s">
        <v>3</v>
      </c>
      <c r="D5" s="3"/>
      <c r="E5" s="3"/>
      <c r="F5" s="4"/>
      <c r="G5" s="23"/>
    </row>
    <row r="6" spans="1:8" x14ac:dyDescent="0.25">
      <c r="A6" s="22" t="str">
        <f t="shared" si="0"/>
        <v>-</v>
      </c>
      <c r="B6" s="21" t="str">
        <f>'Budget vs. Actuals'!A8</f>
        <v xml:space="preserve">      Amazon Smile</v>
      </c>
      <c r="C6" s="2" t="s">
        <v>4</v>
      </c>
      <c r="D6" s="4">
        <f>7</f>
        <v>7</v>
      </c>
      <c r="E6" s="4"/>
      <c r="F6" s="4"/>
      <c r="G6" s="23"/>
    </row>
    <row r="7" spans="1:8" x14ac:dyDescent="0.25">
      <c r="A7" s="22" t="str">
        <f t="shared" si="0"/>
        <v>-</v>
      </c>
      <c r="B7" s="21" t="str">
        <f>'Budget vs. Actuals'!A9</f>
        <v xml:space="preserve">      Day of Giving Match</v>
      </c>
      <c r="C7" s="2" t="s">
        <v>5</v>
      </c>
      <c r="D7" s="4">
        <f>239.87</f>
        <v>239.87</v>
      </c>
      <c r="E7" s="4"/>
      <c r="F7" s="4"/>
      <c r="G7" s="23"/>
    </row>
    <row r="8" spans="1:8" x14ac:dyDescent="0.25">
      <c r="A8" s="22" t="str">
        <f t="shared" si="0"/>
        <v>-</v>
      </c>
      <c r="B8" s="22" t="str">
        <f>'Budget vs. Actuals'!A10</f>
        <v xml:space="preserve">      Memberships - Other</v>
      </c>
      <c r="C8" s="2" t="s">
        <v>53</v>
      </c>
      <c r="D8" s="4">
        <f>670</f>
        <v>670</v>
      </c>
      <c r="E8" s="4"/>
      <c r="F8" s="4"/>
      <c r="G8" s="23"/>
    </row>
    <row r="9" spans="1:8" x14ac:dyDescent="0.25">
      <c r="A9" s="22" t="str">
        <f t="shared" si="0"/>
        <v>-</v>
      </c>
      <c r="B9" s="22" t="str">
        <f>'Budget vs. Actuals'!A11</f>
        <v xml:space="preserve">      Memberships - Trail Groups</v>
      </c>
      <c r="C9" s="2" t="s">
        <v>6</v>
      </c>
      <c r="D9" s="4">
        <f>1900</f>
        <v>1900</v>
      </c>
      <c r="E9" s="4"/>
      <c r="F9" s="4"/>
      <c r="G9" s="23"/>
    </row>
    <row r="10" spans="1:8" x14ac:dyDescent="0.25">
      <c r="A10" s="22" t="str">
        <f t="shared" si="0"/>
        <v>-</v>
      </c>
      <c r="B10" s="22" t="str">
        <f>'Budget vs. Actuals'!A12</f>
        <v xml:space="preserve">      Miscellaneous - Donation</v>
      </c>
      <c r="C10" s="2" t="s">
        <v>45</v>
      </c>
      <c r="D10" s="4">
        <f>264</f>
        <v>264</v>
      </c>
      <c r="E10" s="4"/>
      <c r="F10" s="4"/>
      <c r="G10" s="23"/>
    </row>
    <row r="11" spans="1:8" x14ac:dyDescent="0.25">
      <c r="A11" s="22" t="str">
        <f t="shared" si="0"/>
        <v>-</v>
      </c>
      <c r="B11" s="22" t="str">
        <f>'Budget vs. Actuals'!A13</f>
        <v xml:space="preserve">   Total Donation</v>
      </c>
      <c r="C11" s="2" t="s">
        <v>7</v>
      </c>
      <c r="D11" s="24">
        <f>(((((D5)+(D6))+(D7))+(D8))+(D9))+(D10)</f>
        <v>3080.87</v>
      </c>
      <c r="E11" s="24"/>
      <c r="F11" s="24"/>
      <c r="G11" s="25"/>
    </row>
    <row r="12" spans="1:8" x14ac:dyDescent="0.25">
      <c r="A12" s="22" t="str">
        <f t="shared" si="0"/>
        <v>-</v>
      </c>
      <c r="B12" s="22" t="str">
        <f>'Budget vs. Actuals'!A14</f>
        <v>Total Revenue</v>
      </c>
      <c r="C12" s="2" t="s">
        <v>8</v>
      </c>
      <c r="D12" s="24">
        <f>D11</f>
        <v>3080.87</v>
      </c>
      <c r="E12" s="24"/>
      <c r="F12" s="24"/>
      <c r="G12" s="25"/>
    </row>
    <row r="13" spans="1:8" x14ac:dyDescent="0.25">
      <c r="A13" s="22" t="str">
        <f t="shared" si="0"/>
        <v>ERROR</v>
      </c>
      <c r="B13" s="22" t="str">
        <f>'Budget vs. Actuals'!A15</f>
        <v>Gross Revenue</v>
      </c>
      <c r="C13" s="2" t="s">
        <v>46</v>
      </c>
      <c r="D13" s="24">
        <f>(D12)-(0)</f>
        <v>3080.87</v>
      </c>
      <c r="E13" s="24"/>
      <c r="F13" s="24"/>
      <c r="G13" s="25"/>
    </row>
    <row r="14" spans="1:8" x14ac:dyDescent="0.25">
      <c r="A14" s="22" t="str">
        <f t="shared" si="0"/>
        <v>-</v>
      </c>
      <c r="B14" s="22" t="str">
        <f>'Budget vs. Actuals'!A16</f>
        <v>Expenditures</v>
      </c>
      <c r="C14" s="2" t="s">
        <v>9</v>
      </c>
      <c r="D14" s="3"/>
      <c r="E14" s="3"/>
      <c r="F14" s="3"/>
      <c r="G14" s="3"/>
    </row>
    <row r="15" spans="1:8" x14ac:dyDescent="0.25">
      <c r="A15" s="22" t="str">
        <f t="shared" si="0"/>
        <v>-</v>
      </c>
      <c r="B15" s="22" t="str">
        <f>'Budget vs. Actuals'!A17</f>
        <v xml:space="preserve">   Bank/ Online Fee</v>
      </c>
      <c r="C15" s="2" t="s">
        <v>10</v>
      </c>
      <c r="D15" s="3"/>
      <c r="E15" s="3"/>
      <c r="F15" s="4"/>
      <c r="G15" s="23"/>
    </row>
    <row r="16" spans="1:8" x14ac:dyDescent="0.25">
      <c r="A16" s="22" t="str">
        <f t="shared" si="0"/>
        <v>-</v>
      </c>
      <c r="B16" s="22" t="str">
        <f>'Budget vs. Actuals'!A18</f>
        <v xml:space="preserve">      PayPal fees</v>
      </c>
      <c r="C16" s="2" t="s">
        <v>11</v>
      </c>
      <c r="D16" s="4">
        <f>3.07</f>
        <v>3.07</v>
      </c>
      <c r="E16" s="4"/>
      <c r="F16" s="4"/>
      <c r="G16" s="23"/>
    </row>
    <row r="17" spans="1:7" x14ac:dyDescent="0.25">
      <c r="A17" s="22" t="str">
        <f t="shared" si="0"/>
        <v>-</v>
      </c>
      <c r="B17" s="22" t="str">
        <f>'Budget vs. Actuals'!A19</f>
        <v xml:space="preserve">      United Way Fees</v>
      </c>
      <c r="C17" s="2" t="s">
        <v>54</v>
      </c>
      <c r="D17" s="4">
        <f>6</f>
        <v>6</v>
      </c>
      <c r="E17" s="24"/>
      <c r="F17" s="24"/>
      <c r="G17" s="25"/>
    </row>
    <row r="18" spans="1:7" x14ac:dyDescent="0.25">
      <c r="A18" s="22" t="str">
        <f t="shared" si="0"/>
        <v>-</v>
      </c>
      <c r="B18" s="22" t="str">
        <f>'Budget vs. Actuals'!A20</f>
        <v xml:space="preserve">   Total Bank/ Online Fee</v>
      </c>
      <c r="C18" s="2" t="s">
        <v>12</v>
      </c>
      <c r="D18" s="24">
        <f>((D15)+(D16))+(D17)</f>
        <v>9.07</v>
      </c>
      <c r="E18" s="3"/>
      <c r="F18" s="4"/>
      <c r="G18" s="23"/>
    </row>
    <row r="19" spans="1:7" x14ac:dyDescent="0.25">
      <c r="A19" s="22" t="str">
        <f t="shared" si="0"/>
        <v>-</v>
      </c>
      <c r="B19" s="22" t="str">
        <f>'Budget vs. Actuals'!A21</f>
        <v xml:space="preserve">   Committees</v>
      </c>
      <c r="C19" s="2" t="s">
        <v>13</v>
      </c>
      <c r="D19" s="3"/>
      <c r="E19" s="3"/>
      <c r="F19" s="4"/>
      <c r="G19" s="23"/>
    </row>
    <row r="20" spans="1:7" x14ac:dyDescent="0.25">
      <c r="A20" s="22" t="str">
        <f t="shared" si="0"/>
        <v>-</v>
      </c>
      <c r="B20" s="22" t="str">
        <f>'Budget vs. Actuals'!A22</f>
        <v xml:space="preserve">      Connections Committee</v>
      </c>
      <c r="C20" s="2" t="s">
        <v>14</v>
      </c>
      <c r="D20" s="3"/>
      <c r="E20" s="4"/>
      <c r="F20" s="4"/>
      <c r="G20" s="23"/>
    </row>
    <row r="21" spans="1:7" x14ac:dyDescent="0.25">
      <c r="A21" s="22" t="str">
        <f t="shared" si="0"/>
        <v>-</v>
      </c>
      <c r="B21" s="22" t="str">
        <f>'Budget vs. Actuals'!A23</f>
        <v xml:space="preserve">         Miscellanous</v>
      </c>
      <c r="C21" s="2" t="s">
        <v>15</v>
      </c>
      <c r="D21" s="3"/>
      <c r="E21" s="4"/>
      <c r="F21" s="4"/>
      <c r="G21" s="23"/>
    </row>
    <row r="22" spans="1:7" x14ac:dyDescent="0.25">
      <c r="A22" s="22" t="str">
        <f t="shared" si="0"/>
        <v>-</v>
      </c>
      <c r="B22" s="22" t="str">
        <f>'Budget vs. Actuals'!A24</f>
        <v xml:space="preserve">         Trail Counters and Software</v>
      </c>
      <c r="C22" s="2" t="s">
        <v>16</v>
      </c>
      <c r="D22" s="4">
        <f>100</f>
        <v>100</v>
      </c>
      <c r="E22" s="24"/>
      <c r="F22" s="24"/>
      <c r="G22" s="25"/>
    </row>
    <row r="23" spans="1:7" x14ac:dyDescent="0.25">
      <c r="A23" s="22" t="str">
        <f t="shared" si="0"/>
        <v>-</v>
      </c>
      <c r="B23" s="22" t="str">
        <f>'Budget vs. Actuals'!A25</f>
        <v xml:space="preserve">      Total Connections Committee</v>
      </c>
      <c r="C23" s="2" t="s">
        <v>17</v>
      </c>
      <c r="D23" s="24">
        <f>((D20)+(D21))+(D22)</f>
        <v>100</v>
      </c>
      <c r="E23" s="3"/>
      <c r="F23" s="4"/>
      <c r="G23" s="23"/>
    </row>
    <row r="24" spans="1:7" ht="23.25" x14ac:dyDescent="0.25">
      <c r="A24" s="22" t="str">
        <f t="shared" si="0"/>
        <v>-</v>
      </c>
      <c r="B24" s="22" t="str">
        <f>'Budget vs. Actuals'!A26</f>
        <v xml:space="preserve">      Marketing and Membership Committee</v>
      </c>
      <c r="C24" s="2" t="s">
        <v>18</v>
      </c>
      <c r="D24" s="3"/>
      <c r="E24" s="3"/>
      <c r="F24" s="4"/>
      <c r="G24" s="23"/>
    </row>
    <row r="25" spans="1:7" x14ac:dyDescent="0.25">
      <c r="A25" s="22" t="str">
        <f t="shared" si="0"/>
        <v>-</v>
      </c>
      <c r="B25" s="22" t="str">
        <f>'Budget vs. Actuals'!A27</f>
        <v xml:space="preserve">         Annual Report</v>
      </c>
      <c r="C25" s="2" t="s">
        <v>19</v>
      </c>
      <c r="D25" s="4">
        <f>15.88</f>
        <v>15.88</v>
      </c>
      <c r="E25" s="4"/>
      <c r="F25" s="4"/>
      <c r="G25" s="23"/>
    </row>
    <row r="26" spans="1:7" x14ac:dyDescent="0.25">
      <c r="A26" s="22" t="str">
        <f t="shared" si="0"/>
        <v>ERROR</v>
      </c>
      <c r="B26" s="22" t="str">
        <f>'Budget vs. Actuals'!A28</f>
        <v xml:space="preserve">        P/R Marketing</v>
      </c>
      <c r="C26" s="2"/>
      <c r="D26" s="4"/>
      <c r="E26" s="4"/>
      <c r="F26" s="4"/>
      <c r="G26" s="23"/>
    </row>
    <row r="27" spans="1:7" x14ac:dyDescent="0.25">
      <c r="A27" s="22" t="str">
        <f t="shared" si="0"/>
        <v>-</v>
      </c>
      <c r="B27" s="22" t="str">
        <f>'Budget vs. Actuals'!A29</f>
        <v xml:space="preserve">         Brochure - rack card fold out</v>
      </c>
      <c r="C27" s="2" t="s">
        <v>20</v>
      </c>
      <c r="D27" s="3"/>
      <c r="E27" s="24"/>
      <c r="F27" s="24"/>
      <c r="G27" s="24"/>
    </row>
    <row r="28" spans="1:7" ht="23.25" x14ac:dyDescent="0.25">
      <c r="A28" s="22" t="str">
        <f t="shared" si="0"/>
        <v>-</v>
      </c>
      <c r="B28" s="22" t="str">
        <f>'Budget vs. Actuals'!A30</f>
        <v xml:space="preserve">      Total Marketing and Membership Committee</v>
      </c>
      <c r="C28" s="2" t="s">
        <v>21</v>
      </c>
      <c r="D28" s="24">
        <f>((D24)+(D25))+(D27)</f>
        <v>15.88</v>
      </c>
      <c r="E28" s="24"/>
      <c r="F28" s="24"/>
      <c r="G28" s="25"/>
    </row>
    <row r="29" spans="1:7" x14ac:dyDescent="0.25">
      <c r="A29" s="22" t="str">
        <f t="shared" si="0"/>
        <v>-</v>
      </c>
      <c r="B29" s="22" t="str">
        <f>'Budget vs. Actuals'!A31</f>
        <v xml:space="preserve">   Total Committees</v>
      </c>
      <c r="C29" s="2" t="s">
        <v>22</v>
      </c>
      <c r="D29" s="24">
        <f>((D19)+(D23))+(D28)</f>
        <v>115.88</v>
      </c>
      <c r="E29" s="4"/>
      <c r="F29" s="4"/>
      <c r="G29" s="23"/>
    </row>
    <row r="30" spans="1:7" x14ac:dyDescent="0.25">
      <c r="A30" s="22" t="str">
        <f t="shared" si="0"/>
        <v>-</v>
      </c>
      <c r="B30" s="22" t="str">
        <f>'Budget vs. Actuals'!A32</f>
        <v xml:space="preserve">   Legal &amp; Professional Fees</v>
      </c>
      <c r="C30" s="2" t="s">
        <v>23</v>
      </c>
      <c r="D30" s="3"/>
      <c r="E30" s="3"/>
      <c r="F30" s="4"/>
      <c r="G30" s="23"/>
    </row>
    <row r="31" spans="1:7" x14ac:dyDescent="0.25">
      <c r="A31" s="22" t="str">
        <f t="shared" si="0"/>
        <v>-</v>
      </c>
      <c r="B31" s="22" t="str">
        <f>'Budget vs. Actuals'!A33</f>
        <v xml:space="preserve">      Insurance - D&amp; O, other</v>
      </c>
      <c r="C31" s="2" t="s">
        <v>24</v>
      </c>
      <c r="D31" s="4">
        <f>365</f>
        <v>365</v>
      </c>
      <c r="E31" s="4"/>
      <c r="F31" s="4"/>
      <c r="G31" s="23"/>
    </row>
    <row r="32" spans="1:7" ht="45.75" x14ac:dyDescent="0.25">
      <c r="A32" s="22" t="str">
        <f t="shared" si="0"/>
        <v>-</v>
      </c>
      <c r="B32" s="22" t="str">
        <f>'Budget vs. Actuals'!A34</f>
        <v xml:space="preserve">      PANO - Search Results Web Result with Site Links  Pennsylvania Association of Nonprofit Organization</v>
      </c>
      <c r="C32" s="2" t="s">
        <v>25</v>
      </c>
      <c r="D32" s="4">
        <f>105</f>
        <v>105</v>
      </c>
      <c r="E32" s="24"/>
      <c r="F32" s="24"/>
      <c r="G32" s="25"/>
    </row>
    <row r="33" spans="1:7" x14ac:dyDescent="0.25">
      <c r="A33" s="22" t="str">
        <f t="shared" si="0"/>
        <v>-</v>
      </c>
      <c r="B33" s="22" t="str">
        <f>'Budget vs. Actuals'!A35</f>
        <v xml:space="preserve">   Total Legal &amp; Professional Fees</v>
      </c>
      <c r="C33" s="2" t="s">
        <v>26</v>
      </c>
      <c r="D33" s="24">
        <f>((D30)+(D31))+(D32)</f>
        <v>470</v>
      </c>
      <c r="E33" s="3"/>
      <c r="F33" s="4"/>
      <c r="G33" s="23"/>
    </row>
    <row r="34" spans="1:7" x14ac:dyDescent="0.25">
      <c r="A34" s="22" t="str">
        <f t="shared" si="0"/>
        <v>-</v>
      </c>
      <c r="B34" s="22" t="str">
        <f>'Budget vs. Actuals'!A36</f>
        <v xml:space="preserve">   Office Supplies</v>
      </c>
      <c r="C34" s="2" t="s">
        <v>27</v>
      </c>
      <c r="D34" s="3"/>
      <c r="E34" s="4"/>
      <c r="F34" s="4"/>
      <c r="G34" s="23"/>
    </row>
    <row r="35" spans="1:7" x14ac:dyDescent="0.25">
      <c r="A35" s="22" t="str">
        <f t="shared" si="0"/>
        <v>-</v>
      </c>
      <c r="B35" s="22" t="str">
        <f>'Budget vs. Actuals'!A37</f>
        <v xml:space="preserve">      Secretary Miscellaneous</v>
      </c>
      <c r="C35" s="2" t="s">
        <v>28</v>
      </c>
      <c r="D35" s="4">
        <f>70.68</f>
        <v>70.680000000000007</v>
      </c>
      <c r="E35" s="3"/>
      <c r="F35" s="4"/>
      <c r="G35" s="23"/>
    </row>
    <row r="36" spans="1:7" x14ac:dyDescent="0.25">
      <c r="A36" s="22" t="str">
        <f t="shared" si="0"/>
        <v>-</v>
      </c>
      <c r="B36" s="22" t="str">
        <f>'Budget vs. Actuals'!A38</f>
        <v xml:space="preserve">      Treasurer Miscellaneous</v>
      </c>
      <c r="C36" s="2" t="s">
        <v>29</v>
      </c>
      <c r="D36" s="3"/>
      <c r="E36" s="24"/>
      <c r="F36" s="24"/>
      <c r="G36" s="25"/>
    </row>
    <row r="37" spans="1:7" x14ac:dyDescent="0.25">
      <c r="A37" s="22" t="str">
        <f t="shared" si="0"/>
        <v>-</v>
      </c>
      <c r="B37" s="22" t="str">
        <f>'Budget vs. Actuals'!A39</f>
        <v xml:space="preserve">   Total Office Supplies</v>
      </c>
      <c r="C37" s="2" t="s">
        <v>30</v>
      </c>
      <c r="D37" s="24">
        <f>((D34)+(D35))+(D36)</f>
        <v>70.680000000000007</v>
      </c>
      <c r="E37" s="3"/>
      <c r="F37" s="4"/>
      <c r="G37" s="23"/>
    </row>
    <row r="38" spans="1:7" x14ac:dyDescent="0.25">
      <c r="A38" s="22" t="str">
        <f t="shared" si="0"/>
        <v>-</v>
      </c>
      <c r="B38" s="22" t="str">
        <f>'Budget vs. Actuals'!A40</f>
        <v xml:space="preserve">   Special Event Expense</v>
      </c>
      <c r="C38" s="2" t="s">
        <v>31</v>
      </c>
      <c r="D38" s="3"/>
      <c r="E38" s="4"/>
      <c r="F38" s="4"/>
      <c r="G38" s="23"/>
    </row>
    <row r="39" spans="1:7" x14ac:dyDescent="0.25">
      <c r="A39" s="22" t="str">
        <f t="shared" si="0"/>
        <v>-</v>
      </c>
      <c r="B39" s="22" t="str">
        <f>'Budget vs. Actuals'!A41</f>
        <v xml:space="preserve">      EPTA Summit 2020</v>
      </c>
      <c r="C39" s="2" t="s">
        <v>32</v>
      </c>
      <c r="D39" s="4">
        <f>331.1</f>
        <v>331.1</v>
      </c>
      <c r="E39" s="24"/>
      <c r="F39" s="24"/>
      <c r="G39" s="25"/>
    </row>
    <row r="40" spans="1:7" x14ac:dyDescent="0.25">
      <c r="A40" s="22" t="str">
        <f t="shared" si="0"/>
        <v>-</v>
      </c>
      <c r="B40" s="22" t="str">
        <f>'Budget vs. Actuals'!A42</f>
        <v xml:space="preserve">   Total Special Event Expense</v>
      </c>
      <c r="C40" s="2" t="s">
        <v>33</v>
      </c>
      <c r="D40" s="24">
        <f>(D38)+(D39)</f>
        <v>331.1</v>
      </c>
      <c r="E40" s="24"/>
      <c r="F40" s="24"/>
      <c r="G40" s="25"/>
    </row>
    <row r="41" spans="1:7" x14ac:dyDescent="0.25">
      <c r="A41" s="22" t="str">
        <f t="shared" si="0"/>
        <v>-</v>
      </c>
      <c r="B41" s="22" t="str">
        <f>'Budget vs. Actuals'!A43</f>
        <v>Total Expenditures</v>
      </c>
      <c r="C41" s="2" t="s">
        <v>34</v>
      </c>
      <c r="D41" s="24">
        <f>((((D18)+(D29))+(D33))+(D37))+(D40)</f>
        <v>996.73000000000013</v>
      </c>
      <c r="E41" s="24"/>
      <c r="F41" s="24"/>
      <c r="G41" s="25"/>
    </row>
    <row r="42" spans="1:7" x14ac:dyDescent="0.25">
      <c r="A42" s="22" t="str">
        <f t="shared" si="0"/>
        <v>-</v>
      </c>
      <c r="B42" s="22" t="str">
        <f>'Budget vs. Actuals'!A44</f>
        <v>Net Operating Revenue</v>
      </c>
      <c r="C42" s="2" t="s">
        <v>35</v>
      </c>
      <c r="D42" s="24">
        <f>(D13)-(D41)</f>
        <v>2084.14</v>
      </c>
      <c r="E42" s="24"/>
      <c r="F42" s="24"/>
      <c r="G42" s="25"/>
    </row>
    <row r="43" spans="1:7" x14ac:dyDescent="0.25">
      <c r="A43" s="22" t="str">
        <f t="shared" si="0"/>
        <v>-</v>
      </c>
      <c r="B43" s="22" t="str">
        <f>'Budget vs. Actuals'!A45</f>
        <v>Net Revenue</v>
      </c>
      <c r="C43" s="2" t="s">
        <v>36</v>
      </c>
      <c r="D43" s="24">
        <f>(D42)+(0)</f>
        <v>2084.14</v>
      </c>
    </row>
    <row r="44" spans="1:7" x14ac:dyDescent="0.25">
      <c r="A44" s="22" t="str">
        <f t="shared" si="0"/>
        <v>-</v>
      </c>
      <c r="B44" s="22">
        <f>'Budget vs. Actuals'!A46</f>
        <v>0</v>
      </c>
    </row>
    <row r="45" spans="1:7" x14ac:dyDescent="0.25">
      <c r="A45" s="22" t="str">
        <f t="shared" si="0"/>
        <v>-</v>
      </c>
      <c r="B45" s="22">
        <f>'Budget vs. Actuals'!A47</f>
        <v>0</v>
      </c>
    </row>
    <row r="46" spans="1:7" x14ac:dyDescent="0.25">
      <c r="A46" s="22" t="str">
        <f t="shared" si="0"/>
        <v>-</v>
      </c>
      <c r="B46" s="22">
        <f>'Budget vs. Actuals'!A48</f>
        <v>0</v>
      </c>
    </row>
    <row r="47" spans="1:7" x14ac:dyDescent="0.25">
      <c r="A47" s="22" t="str">
        <f t="shared" si="0"/>
        <v>-</v>
      </c>
    </row>
    <row r="48" spans="1:7" x14ac:dyDescent="0.25">
      <c r="A48" s="22" t="str">
        <f t="shared" si="0"/>
        <v>-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vs. Actuals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Roy Weil</cp:lastModifiedBy>
  <cp:lastPrinted>2020-10-08T03:03:34Z</cp:lastPrinted>
  <dcterms:created xsi:type="dcterms:W3CDTF">2020-10-02T10:54:43Z</dcterms:created>
  <dcterms:modified xsi:type="dcterms:W3CDTF">2020-10-09T13:24:15Z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aa1bb2c8-8cd0-4e48-96e8-ad68fb94639a</vt:lpwstr>
  </property>
</Properties>
</file>